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YuAnTzeng\100_Working_Topics\2021-07~2022-12_EEXI TEAM\1 中心官網EEXI頁面\202602\"/>
    </mc:Choice>
  </mc:AlternateContent>
  <xr:revisionPtr revIDLastSave="0" documentId="13_ncr:1_{D88FE84B-2C93-44FF-BC94-FABFFF92C1B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CII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8" i="5" l="1"/>
  <c r="F37" i="5"/>
  <c r="F36" i="5"/>
  <c r="F32" i="5"/>
  <c r="F31" i="5"/>
  <c r="F33" i="5"/>
  <c r="J32" i="5"/>
  <c r="J31" i="5"/>
  <c r="J30" i="5"/>
  <c r="F30" i="5" s="1"/>
  <c r="H31" i="5"/>
  <c r="H26" i="5"/>
  <c r="J18" i="5"/>
  <c r="H20" i="5" s="1"/>
  <c r="H10" i="5"/>
  <c r="J20" i="5" l="1"/>
  <c r="G35" i="5" l="1"/>
  <c r="F41" i="5"/>
  <c r="G26" i="5" l="1"/>
  <c r="I26" i="5"/>
  <c r="J26" i="5"/>
  <c r="F26" i="5"/>
  <c r="F20" i="5"/>
  <c r="I20" i="5" l="1"/>
  <c r="G20" i="5"/>
  <c r="F39" i="5"/>
  <c r="F10" i="5"/>
  <c r="G10" i="5"/>
  <c r="I10" i="5"/>
  <c r="J10" i="5"/>
  <c r="F43" i="5" l="1"/>
  <c r="G43" i="5"/>
  <c r="J43" i="5"/>
  <c r="I43" i="5"/>
  <c r="H43" i="5"/>
  <c r="F40" i="5"/>
  <c r="G36" i="5"/>
  <c r="G37" i="5" s="1"/>
  <c r="E6" i="5"/>
  <c r="D6" i="5" s="1"/>
  <c r="G38" i="5" l="1"/>
  <c r="G40" i="5"/>
  <c r="G39" i="5"/>
  <c r="G41" i="5"/>
  <c r="H35" i="5"/>
  <c r="I35" i="5" s="1"/>
  <c r="J35" i="5" s="1"/>
  <c r="F44" i="5" l="1"/>
  <c r="I36" i="5"/>
  <c r="I37" i="5" s="1"/>
  <c r="H36" i="5"/>
  <c r="H37" i="5" s="1"/>
  <c r="H38" i="5" s="1"/>
  <c r="I40" i="5" l="1"/>
  <c r="I38" i="5"/>
  <c r="I41" i="5"/>
  <c r="I39" i="5"/>
  <c r="H40" i="5"/>
  <c r="H39" i="5"/>
  <c r="H41" i="5"/>
  <c r="J36" i="5"/>
  <c r="J37" i="5" s="1"/>
  <c r="J40" i="5" l="1"/>
  <c r="J39" i="5"/>
  <c r="J38" i="5"/>
  <c r="J41" i="5"/>
  <c r="I44" i="5"/>
  <c r="H44" i="5"/>
  <c r="G44" i="5"/>
  <c r="J44" i="5" l="1"/>
</calcChain>
</file>

<file path=xl/sharedStrings.xml><?xml version="1.0" encoding="utf-8"?>
<sst xmlns="http://schemas.openxmlformats.org/spreadsheetml/2006/main" count="214" uniqueCount="141">
  <si>
    <t>FCj</t>
    <phoneticPr fontId="1" type="noConversion"/>
  </si>
  <si>
    <t>CFj</t>
    <phoneticPr fontId="1" type="noConversion"/>
  </si>
  <si>
    <t>Ship type</t>
    <phoneticPr fontId="1" type="noConversion"/>
  </si>
  <si>
    <t>Ship Type</t>
    <phoneticPr fontId="1" type="noConversion"/>
  </si>
  <si>
    <t>LNG carrier</t>
    <phoneticPr fontId="1" type="noConversion"/>
  </si>
  <si>
    <t>General cargo ship</t>
  </si>
  <si>
    <t>Bulk carrier</t>
    <phoneticPr fontId="1" type="noConversion"/>
  </si>
  <si>
    <t>Gas carrier</t>
    <phoneticPr fontId="1" type="noConversion"/>
  </si>
  <si>
    <t>Tanker</t>
    <phoneticPr fontId="1" type="noConversion"/>
  </si>
  <si>
    <t>Container ship</t>
    <phoneticPr fontId="1" type="noConversion"/>
  </si>
  <si>
    <t>Refrigerated cargo carrier</t>
  </si>
  <si>
    <t>Combination carrier</t>
    <phoneticPr fontId="1" type="noConversion"/>
  </si>
  <si>
    <t>Cruise passenger ship</t>
    <phoneticPr fontId="1" type="noConversion"/>
  </si>
  <si>
    <t>a</t>
    <phoneticPr fontId="1" type="noConversion"/>
  </si>
  <si>
    <t>Ro-ro cargo ship (vehicle carrier)</t>
    <phoneticPr fontId="1" type="noConversion"/>
  </si>
  <si>
    <t>Ro-ro passenger ship</t>
    <phoneticPr fontId="1" type="noConversion"/>
  </si>
  <si>
    <t>Capacity</t>
    <phoneticPr fontId="1" type="noConversion"/>
  </si>
  <si>
    <t>Dt</t>
    <phoneticPr fontId="1" type="noConversion"/>
  </si>
  <si>
    <t>Total Distance Travelled</t>
    <phoneticPr fontId="1" type="noConversion"/>
  </si>
  <si>
    <t>(-)</t>
    <phoneticPr fontId="1" type="noConversion"/>
  </si>
  <si>
    <t>DWT</t>
  </si>
  <si>
    <t>DWT</t>
    <phoneticPr fontId="1" type="noConversion"/>
  </si>
  <si>
    <t>GT</t>
  </si>
  <si>
    <t>GT</t>
    <phoneticPr fontId="1" type="noConversion"/>
  </si>
  <si>
    <t>CF</t>
    <phoneticPr fontId="1" type="noConversion"/>
  </si>
  <si>
    <t>Diesel/Gas Oil</t>
  </si>
  <si>
    <t>Light Fuel Oil (LFO)</t>
    <phoneticPr fontId="1" type="noConversion"/>
  </si>
  <si>
    <t>Heavy Fuel Oil (HFO)</t>
    <phoneticPr fontId="1" type="noConversion"/>
  </si>
  <si>
    <t>Ethanol</t>
    <phoneticPr fontId="1" type="noConversion"/>
  </si>
  <si>
    <t>Liquefied Natural Gas (LNG)</t>
    <phoneticPr fontId="1" type="noConversion"/>
  </si>
  <si>
    <t>Methanol</t>
    <phoneticPr fontId="1" type="noConversion"/>
  </si>
  <si>
    <t>Liquefied Petroleum Gas (LPG) Propane</t>
    <phoneticPr fontId="1" type="noConversion"/>
  </si>
  <si>
    <t>Liquefied Petroleum Gas (LPG) Butane</t>
    <phoneticPr fontId="1" type="noConversion"/>
  </si>
  <si>
    <t>(nm)</t>
    <phoneticPr fontId="1" type="noConversion"/>
  </si>
  <si>
    <t>Attained Annual Operational CII</t>
    <phoneticPr fontId="1" type="noConversion"/>
  </si>
  <si>
    <t>(ton)</t>
    <phoneticPr fontId="1" type="noConversion"/>
  </si>
  <si>
    <t>c</t>
    <phoneticPr fontId="1" type="noConversion"/>
  </si>
  <si>
    <t>65000 DWT and above</t>
    <phoneticPr fontId="1" type="noConversion"/>
  </si>
  <si>
    <t>less than 65000 DWT</t>
    <phoneticPr fontId="1" type="noConversion"/>
  </si>
  <si>
    <t>General cargo ship</t>
    <phoneticPr fontId="1" type="noConversion"/>
  </si>
  <si>
    <t>Refrigerated cargo carrier</t>
    <phoneticPr fontId="1" type="noConversion"/>
  </si>
  <si>
    <t>Ro-ro cargo ship</t>
    <phoneticPr fontId="1" type="noConversion"/>
  </si>
  <si>
    <t>100000 DWT and above</t>
    <phoneticPr fontId="1" type="noConversion"/>
  </si>
  <si>
    <t>Reduction Factor</t>
    <phoneticPr fontId="1" type="noConversion"/>
  </si>
  <si>
    <t>Year</t>
    <phoneticPr fontId="1" type="noConversion"/>
  </si>
  <si>
    <t>Bulk Carrier</t>
    <phoneticPr fontId="1" type="noConversion"/>
  </si>
  <si>
    <t>less than 100000 DWT</t>
    <phoneticPr fontId="1" type="noConversion"/>
  </si>
  <si>
    <t>exp(d1)</t>
    <phoneticPr fontId="1" type="noConversion"/>
  </si>
  <si>
    <t>(%)</t>
    <phoneticPr fontId="1" type="noConversion"/>
  </si>
  <si>
    <t>CII Rating</t>
    <phoneticPr fontId="1" type="noConversion"/>
  </si>
  <si>
    <t>Z</t>
    <phoneticPr fontId="1" type="noConversion"/>
  </si>
  <si>
    <t>Table 1 :  DWT or GT should be used as capacity</t>
    <phoneticPr fontId="1" type="noConversion"/>
  </si>
  <si>
    <t>Table 4 : Parameters for determining the 2019 ship type specific reference lines</t>
    <phoneticPr fontId="1" type="noConversion"/>
  </si>
  <si>
    <t>Table 5 : dd vectors for determining the rating boundaries of ship types</t>
    <phoneticPr fontId="1" type="noConversion"/>
  </si>
  <si>
    <t xml:space="preserve">Table 3 : Reduction factor (Z%) relative to 2019 </t>
    <phoneticPr fontId="1" type="noConversion"/>
  </si>
  <si>
    <t>279,000 DWT and above</t>
    <phoneticPr fontId="1" type="noConversion"/>
  </si>
  <si>
    <t>less than 279,000 DWT</t>
    <phoneticPr fontId="1" type="noConversion"/>
  </si>
  <si>
    <t>65,000 DWT and above</t>
    <phoneticPr fontId="1" type="noConversion"/>
  </si>
  <si>
    <t>less than 65,000 DWT</t>
    <phoneticPr fontId="1" type="noConversion"/>
  </si>
  <si>
    <t>Dx</t>
    <phoneticPr fontId="1" type="noConversion"/>
  </si>
  <si>
    <t>20,000 DWT and above</t>
    <phoneticPr fontId="1" type="noConversion"/>
  </si>
  <si>
    <t>FC voyage,j</t>
    <phoneticPr fontId="1" type="noConversion"/>
  </si>
  <si>
    <t>less than 20,000 DWT</t>
    <phoneticPr fontId="1" type="noConversion"/>
  </si>
  <si>
    <t>TFj</t>
    <phoneticPr fontId="1" type="noConversion"/>
  </si>
  <si>
    <t>100,000 DWT and above</t>
    <phoneticPr fontId="1" type="noConversion"/>
  </si>
  <si>
    <t>Ro-ro passenger ship - High Speed Craft designed to SOLAS Chapter X</t>
    <phoneticPr fontId="1" type="noConversion"/>
  </si>
  <si>
    <t>65,000 DWT and above, but less than 100,000 DWT</t>
    <phoneticPr fontId="1" type="noConversion"/>
  </si>
  <si>
    <t>FC electrical,j</t>
    <phoneticPr fontId="1" type="noConversion"/>
  </si>
  <si>
    <t>FC boiler,j</t>
    <phoneticPr fontId="1" type="noConversion"/>
  </si>
  <si>
    <t>57,700 GT and above</t>
    <phoneticPr fontId="1" type="noConversion"/>
  </si>
  <si>
    <t>FC others,j</t>
    <phoneticPr fontId="1" type="noConversion"/>
  </si>
  <si>
    <t>30,000 GT and above, but less than 57,700 DWT</t>
    <phoneticPr fontId="1" type="noConversion"/>
  </si>
  <si>
    <t>Correction Factor</t>
    <phoneticPr fontId="1" type="noConversion"/>
  </si>
  <si>
    <t>less than 30,000 GT</t>
    <phoneticPr fontId="1" type="noConversion"/>
  </si>
  <si>
    <t>fi</t>
    <phoneticPr fontId="1" type="noConversion"/>
  </si>
  <si>
    <t>fm</t>
    <phoneticPr fontId="1" type="noConversion"/>
  </si>
  <si>
    <t>fc</t>
    <phoneticPr fontId="1" type="noConversion"/>
  </si>
  <si>
    <t>High Speed Craft designed to SOLAS Chapter X</t>
    <phoneticPr fontId="1" type="noConversion"/>
  </si>
  <si>
    <t>fi,vse</t>
    <phoneticPr fontId="1" type="noConversion"/>
  </si>
  <si>
    <t>fi(ice class)</t>
    <phoneticPr fontId="1" type="noConversion"/>
  </si>
  <si>
    <t>fi Cb</t>
    <phoneticPr fontId="1" type="noConversion"/>
  </si>
  <si>
    <t>Cb</t>
    <phoneticPr fontId="1" type="noConversion"/>
  </si>
  <si>
    <t>DWT reference</t>
    <phoneticPr fontId="1" type="noConversion"/>
  </si>
  <si>
    <t>DWT enhanced</t>
    <phoneticPr fontId="1" type="noConversion"/>
  </si>
  <si>
    <t>R</t>
    <phoneticPr fontId="1" type="noConversion"/>
  </si>
  <si>
    <t>Cb reference</t>
    <phoneticPr fontId="1" type="noConversion"/>
  </si>
  <si>
    <t>Unit</t>
    <phoneticPr fontId="1" type="noConversion"/>
  </si>
  <si>
    <t>Variable</t>
    <phoneticPr fontId="1" type="noConversion"/>
  </si>
  <si>
    <t>FC S,j</t>
    <phoneticPr fontId="1" type="noConversion"/>
  </si>
  <si>
    <t>Voyage Adjustment</t>
    <phoneticPr fontId="1" type="noConversion"/>
  </si>
  <si>
    <t>AF Tanker</t>
    <phoneticPr fontId="1" type="noConversion"/>
  </si>
  <si>
    <t>Fuel Type</t>
    <phoneticPr fontId="1" type="noConversion"/>
  </si>
  <si>
    <t>Total Mass of Consumed Fuel</t>
    <phoneticPr fontId="1" type="noConversion"/>
  </si>
  <si>
    <t>Capacity Correction Factor</t>
    <phoneticPr fontId="1" type="noConversion"/>
  </si>
  <si>
    <t>ice class</t>
    <phoneticPr fontId="1" type="noConversion"/>
  </si>
  <si>
    <t>j</t>
    <phoneticPr fontId="1" type="noConversion"/>
  </si>
  <si>
    <t>exp(d2)</t>
    <phoneticPr fontId="1" type="noConversion"/>
  </si>
  <si>
    <t>exp(d3)</t>
    <phoneticPr fontId="1" type="noConversion"/>
  </si>
  <si>
    <t>exp(d4)</t>
    <phoneticPr fontId="1" type="noConversion"/>
  </si>
  <si>
    <t>Ice-class Type</t>
    <phoneticPr fontId="1" type="noConversion"/>
  </si>
  <si>
    <t>FC total,j</t>
    <phoneticPr fontId="1" type="noConversion"/>
  </si>
  <si>
    <t>CO2 Conversion Factor</t>
    <phoneticPr fontId="1" type="noConversion"/>
  </si>
  <si>
    <t>Total Mass of Consumed Fuel Deduction</t>
    <phoneticPr fontId="1" type="noConversion"/>
  </si>
  <si>
    <t>Total Distance Travelled Deduction</t>
    <phoneticPr fontId="1" type="noConversion"/>
  </si>
  <si>
    <t>Quantity of Fuel Removed for Tanker Operation</t>
    <phoneticPr fontId="1" type="noConversion"/>
  </si>
  <si>
    <t>Tanker Operation Correction Factor</t>
    <phoneticPr fontId="1" type="noConversion"/>
  </si>
  <si>
    <t>Total Mass of Electrical Power Consumed Fuel</t>
    <phoneticPr fontId="1" type="noConversion"/>
  </si>
  <si>
    <t>Total Mass of Boiler Consumed Fuel</t>
    <phoneticPr fontId="1" type="noConversion"/>
  </si>
  <si>
    <t>Total Mass of Other Devices Consumed Fuel</t>
    <phoneticPr fontId="1" type="noConversion"/>
  </si>
  <si>
    <t>Total Mass of Tanker Operation Consumed Fuel</t>
    <phoneticPr fontId="1" type="noConversion"/>
  </si>
  <si>
    <t>Total Mass of Consumed Fuel Correction</t>
    <phoneticPr fontId="1" type="noConversion"/>
  </si>
  <si>
    <t>Fuel Consumption Correction</t>
    <phoneticPr fontId="1" type="noConversion"/>
  </si>
  <si>
    <t>IA Super and IA Class Correction Factor</t>
    <phoneticPr fontId="1" type="noConversion"/>
  </si>
  <si>
    <t>Cubic Capacity Correction Factor</t>
    <phoneticPr fontId="1" type="noConversion"/>
  </si>
  <si>
    <t>Voluntary Structural Enhancement Correction Factor</t>
    <phoneticPr fontId="1" type="noConversion"/>
  </si>
  <si>
    <t>Cubic Capacity</t>
    <phoneticPr fontId="1" type="noConversion"/>
  </si>
  <si>
    <t>Table 2 : Conversion factor for fuel type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</si>
  <si>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</si>
  <si>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</si>
  <si>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</si>
  <si>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</si>
  <si>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Required Annual Operational CII 
of Different Rating</t>
    <phoneticPr fontId="1" type="noConversion"/>
  </si>
  <si>
    <t>Required Annual Operational CII Reference line</t>
    <phoneticPr fontId="1" type="noConversion"/>
  </si>
  <si>
    <t>Bulk carrier</t>
  </si>
  <si>
    <t xml:space="preserve">Scenarios Specified in Regulation 3.1 of MARPOL Annex VI </t>
  </si>
  <si>
    <t xml:space="preserve">Sailing in Ice Conditions </t>
  </si>
  <si>
    <t>Shuttle Tanker or Ship-to-Ship (STS) Operation on Tanker</t>
    <phoneticPr fontId="1" type="noConversion"/>
  </si>
  <si>
    <t>Refrigerated Containers on All Ships</t>
  </si>
  <si>
    <t xml:space="preserve">Cargo Cooling / Reliquefaction Systems on Gas Carrier or LNG Carrier </t>
  </si>
  <si>
    <t>Discharge Pumps on Tanker</t>
  </si>
  <si>
    <t xml:space="preserve">Oil Fired Boiler for Cargo Heating and Cargo Discharge on Tanker </t>
  </si>
  <si>
    <t xml:space="preserve">Standalone Engine Driven Cargo Pumps During Discharge Operations on Tanker </t>
  </si>
  <si>
    <t>Ice-classed ship</t>
    <phoneticPr fontId="1" type="noConversion"/>
  </si>
  <si>
    <t xml:space="preserve">Chemical Tanker </t>
  </si>
  <si>
    <t>Self-unloading Bulk Carrier</t>
  </si>
  <si>
    <t>Capacity (DWT or GT, depending on ship type)</t>
    <phoneticPr fontId="1" type="noConversion"/>
  </si>
  <si>
    <t>Light Fuel Oil (LFO)</t>
  </si>
  <si>
    <t>Heavy Fuel Oil (HFO)</t>
  </si>
  <si>
    <t>Liquefied Natural Gas (LNG)</t>
  </si>
  <si>
    <t>Methanol</t>
  </si>
  <si>
    <t>CR CII 計算工具使用說明
1. 於「綠色」欄位填入船型、載重噸(DWT)或總噸(GT)、年度航行距離、燃料類型和該燃料類型對應之年度消耗量、計算年度。
2. 若有航程調整、燃油消耗修正或船型修正係數，於「黃色」欄位填入相關數值。
3. 程式將自行計算並顯示其結果於「橙色」欄位。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</si>
</sst>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_ "/>
    <numFmt numFmtId="178" formatCode="0.0000_ "/>
    <numFmt numFmtId="179" formatCode="0.0_ "/>
  </numFmts>
  <fonts count="6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新細明體"/>
      <family val="1"/>
      <charset val="136"/>
    </font>
    <font>
      <sz val="11"/>
      <color rgb="FFFF0000"/>
      <name val="新細明體"/>
      <family val="1"/>
      <charset val="136"/>
    </font>
    <font>
      <b/>
      <sz val="11"/>
      <name val="新細明體"/>
      <family val="1"/>
      <charset val="136"/>
    </font>
    <font>
      <sz val="11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quotePrefix="1" applyFont="1" applyFill="1" applyBorder="1" applyAlignment="1" applyProtection="1">
      <alignment horizontal="center" vertical="center"/>
      <protection locked="0"/>
    </xf>
    <xf numFmtId="177" fontId="3" fillId="4" borderId="1" xfId="0" applyNumberFormat="1" applyFont="1" applyFill="1" applyBorder="1" applyAlignment="1" applyProtection="1">
      <alignment horizontal="center" vertical="center"/>
      <protection hidden="1"/>
    </xf>
    <xf numFmtId="176" fontId="3" fillId="4" borderId="2" xfId="0" applyNumberFormat="1" applyFont="1" applyFill="1" applyBorder="1" applyAlignment="1" applyProtection="1">
      <alignment horizontal="center" vertical="center"/>
      <protection hidden="1"/>
    </xf>
    <xf numFmtId="0" fontId="5" fillId="5" borderId="1" xfId="0" applyFont="1" applyFill="1" applyBorder="1" applyAlignment="1" applyProtection="1">
      <alignment horizontal="right" vertical="center"/>
    </xf>
    <xf numFmtId="0" fontId="5" fillId="5" borderId="1" xfId="0" applyFont="1" applyFill="1" applyBorder="1" applyAlignment="1" applyProtection="1">
      <alignment horizontal="left" vertical="center"/>
    </xf>
    <xf numFmtId="0" fontId="2" fillId="5" borderId="1" xfId="0" applyFont="1" applyFill="1" applyBorder="1" applyAlignment="1" applyProtection="1">
      <alignment horizontal="center" vertical="center"/>
      <protection hidden="1"/>
    </xf>
    <xf numFmtId="0" fontId="2" fillId="5" borderId="1" xfId="0" applyFont="1" applyFill="1" applyBorder="1" applyAlignment="1" applyProtection="1">
      <alignment horizontal="right" vertical="center"/>
    </xf>
    <xf numFmtId="177" fontId="2" fillId="5" borderId="1" xfId="0" applyNumberFormat="1" applyFont="1" applyFill="1" applyBorder="1" applyAlignment="1" applyProtection="1">
      <alignment horizontal="center" vertical="center"/>
      <protection hidden="1"/>
    </xf>
    <xf numFmtId="0" fontId="2" fillId="5" borderId="3" xfId="0" applyFont="1" applyFill="1" applyBorder="1" applyAlignment="1" applyProtection="1">
      <alignment horizontal="center" vertical="center"/>
    </xf>
    <xf numFmtId="179" fontId="2" fillId="5" borderId="1" xfId="0" applyNumberFormat="1" applyFont="1" applyFill="1" applyBorder="1" applyAlignment="1" applyProtection="1">
      <alignment horizontal="center" vertical="center"/>
    </xf>
    <xf numFmtId="0" fontId="2" fillId="5" borderId="1" xfId="0" applyFont="1" applyFill="1" applyBorder="1" applyAlignment="1" applyProtection="1">
      <alignment horizontal="left" vertical="center"/>
    </xf>
    <xf numFmtId="0" fontId="5" fillId="5" borderId="1" xfId="0" applyNumberFormat="1" applyFont="1" applyFill="1" applyBorder="1" applyAlignment="1" applyProtection="1">
      <alignment horizontal="right" vertical="center"/>
    </xf>
    <xf numFmtId="0" fontId="2" fillId="5" borderId="1" xfId="0" applyFont="1" applyFill="1" applyBorder="1" applyAlignment="1" applyProtection="1">
      <alignment vertical="center"/>
    </xf>
    <xf numFmtId="177" fontId="3" fillId="5" borderId="1" xfId="0" applyNumberFormat="1" applyFont="1" applyFill="1" applyBorder="1" applyAlignment="1" applyProtection="1">
      <alignment horizontal="center" vertical="center"/>
      <protection hidden="1"/>
    </xf>
    <xf numFmtId="0" fontId="4" fillId="6" borderId="1" xfId="0" applyFont="1" applyFill="1" applyBorder="1" applyAlignment="1" applyProtection="1">
      <alignment horizontal="center" vertical="center"/>
    </xf>
    <xf numFmtId="0" fontId="2" fillId="5" borderId="5" xfId="0" applyFont="1" applyFill="1" applyBorder="1" applyAlignment="1" applyProtection="1">
      <alignment horizontal="center" vertical="center" wrapText="1"/>
    </xf>
    <xf numFmtId="0" fontId="2" fillId="5" borderId="5" xfId="0" applyFont="1" applyFill="1" applyBorder="1" applyAlignment="1" applyProtection="1">
      <alignment horizontal="center" vertical="center"/>
    </xf>
    <xf numFmtId="177" fontId="2" fillId="5" borderId="1" xfId="0" applyNumberFormat="1" applyFont="1" applyFill="1" applyBorder="1" applyAlignment="1" applyProtection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</xf>
    <xf numFmtId="178" fontId="2" fillId="5" borderId="1" xfId="0" applyNumberFormat="1" applyFont="1" applyFill="1" applyBorder="1" applyAlignment="1" applyProtection="1">
      <alignment horizontal="center" vertical="center"/>
    </xf>
    <xf numFmtId="3" fontId="2" fillId="5" borderId="1" xfId="0" applyNumberFormat="1" applyFont="1" applyFill="1" applyBorder="1" applyAlignment="1" applyProtection="1">
      <alignment horizontal="center" vertical="center"/>
    </xf>
    <xf numFmtId="11" fontId="2" fillId="5" borderId="1" xfId="0" applyNumberFormat="1" applyFont="1" applyFill="1" applyBorder="1" applyAlignment="1" applyProtection="1">
      <alignment horizontal="center" vertical="center"/>
    </xf>
    <xf numFmtId="176" fontId="2" fillId="5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vertical="top" wrapText="1"/>
      <protection locked="0"/>
    </xf>
    <xf numFmtId="0" fontId="2" fillId="5" borderId="1" xfId="0" applyNumberFormat="1" applyFont="1" applyFill="1" applyBorder="1" applyAlignment="1" applyProtection="1">
      <alignment horizontal="left" vertical="center"/>
    </xf>
    <xf numFmtId="3" fontId="2" fillId="5" borderId="5" xfId="0" applyNumberFormat="1" applyFont="1" applyFill="1" applyBorder="1" applyAlignment="1" applyProtection="1">
      <alignment horizontal="center" vertical="center"/>
    </xf>
    <xf numFmtId="3" fontId="2" fillId="5" borderId="6" xfId="0" applyNumberFormat="1" applyFont="1" applyFill="1" applyBorder="1" applyAlignment="1" applyProtection="1">
      <alignment horizontal="center" vertical="center"/>
    </xf>
    <xf numFmtId="0" fontId="4" fillId="6" borderId="3" xfId="0" applyFont="1" applyFill="1" applyBorder="1" applyAlignment="1" applyProtection="1">
      <alignment horizontal="center" vertical="center"/>
    </xf>
    <xf numFmtId="0" fontId="4" fillId="6" borderId="2" xfId="0" applyFont="1" applyFill="1" applyBorder="1" applyAlignment="1" applyProtection="1">
      <alignment horizontal="center" vertical="center"/>
    </xf>
    <xf numFmtId="0" fontId="2" fillId="5" borderId="5" xfId="0" applyFont="1" applyFill="1" applyBorder="1" applyAlignment="1" applyProtection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</xf>
    <xf numFmtId="0" fontId="5" fillId="5" borderId="1" xfId="0" applyNumberFormat="1" applyFont="1" applyFill="1" applyBorder="1" applyAlignment="1" applyProtection="1">
      <alignment horizontal="right" vertical="center" wrapText="1"/>
    </xf>
    <xf numFmtId="0" fontId="5" fillId="5" borderId="1" xfId="0" applyNumberFormat="1" applyFont="1" applyFill="1" applyBorder="1" applyAlignment="1" applyProtection="1">
      <alignment horizontal="right" vertical="center"/>
    </xf>
    <xf numFmtId="0" fontId="2" fillId="5" borderId="1" xfId="0" applyFont="1" applyFill="1" applyBorder="1" applyAlignment="1" applyProtection="1">
      <alignment horizontal="left" vertical="center"/>
    </xf>
    <xf numFmtId="0" fontId="4" fillId="6" borderId="4" xfId="0" applyFont="1" applyFill="1" applyBorder="1" applyAlignment="1" applyProtection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</xf>
    <xf numFmtId="3" fontId="2" fillId="5" borderId="1" xfId="0" applyNumberFormat="1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5" borderId="5" xfId="0" applyFont="1" applyFill="1" applyBorder="1" applyAlignment="1" applyProtection="1">
      <alignment horizontal="right" vertical="center"/>
    </xf>
    <xf numFmtId="0" fontId="2" fillId="5" borderId="7" xfId="0" applyFont="1" applyFill="1" applyBorder="1" applyAlignment="1" applyProtection="1">
      <alignment horizontal="right" vertical="center"/>
    </xf>
    <xf numFmtId="0" fontId="2" fillId="5" borderId="6" xfId="0" applyFont="1" applyFill="1" applyBorder="1" applyAlignment="1" applyProtection="1">
      <alignment horizontal="right" vertical="center"/>
    </xf>
    <xf numFmtId="0" fontId="5" fillId="5" borderId="5" xfId="0" applyFont="1" applyFill="1" applyBorder="1" applyAlignment="1" applyProtection="1">
      <alignment horizontal="right" vertical="center"/>
    </xf>
    <xf numFmtId="0" fontId="5" fillId="5" borderId="7" xfId="0" applyFont="1" applyFill="1" applyBorder="1" applyAlignment="1" applyProtection="1">
      <alignment horizontal="right" vertical="center"/>
    </xf>
    <xf numFmtId="0" fontId="5" fillId="5" borderId="6" xfId="0" applyFont="1" applyFill="1" applyBorder="1" applyAlignment="1" applyProtection="1">
      <alignment horizontal="right" vertical="center"/>
    </xf>
    <xf numFmtId="0" fontId="2" fillId="5" borderId="5" xfId="0" applyFont="1" applyFill="1" applyBorder="1" applyAlignment="1" applyProtection="1">
      <alignment horizontal="left" vertical="center"/>
    </xf>
    <xf numFmtId="0" fontId="2" fillId="5" borderId="7" xfId="0" applyFont="1" applyFill="1" applyBorder="1" applyAlignment="1" applyProtection="1">
      <alignment horizontal="left" vertical="center"/>
    </xf>
    <xf numFmtId="0" fontId="2" fillId="5" borderId="6" xfId="0" applyFont="1" applyFill="1" applyBorder="1" applyAlignment="1" applyProtection="1">
      <alignment horizontal="left" vertical="center"/>
    </xf>
    <xf numFmtId="0" fontId="2" fillId="5" borderId="7" xfId="0" applyFont="1" applyFill="1" applyBorder="1" applyAlignment="1" applyProtection="1">
      <alignment horizontal="center" vertical="center"/>
    </xf>
    <xf numFmtId="0" fontId="2" fillId="3" borderId="5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3" borderId="6" xfId="0" applyFon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left" vertical="top" wrapText="1"/>
    </xf>
    <xf numFmtId="0" fontId="4" fillId="0" borderId="9" xfId="0" applyFont="1" applyBorder="1" applyAlignment="1" applyProtection="1">
      <alignment horizontal="left" vertical="top" wrapText="1"/>
    </xf>
    <xf numFmtId="0" fontId="4" fillId="0" borderId="10" xfId="0" applyFont="1" applyBorder="1" applyAlignment="1" applyProtection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DCD03-DB23-4AD3-BA1E-CC643BC1D605}">
  <sheetPr codeName="工作表1"/>
  <dimension ref="B1:T44"/>
  <sheetViews>
    <sheetView tabSelected="1" zoomScale="80" zoomScaleNormal="80" workbookViewId="0">
      <selection activeCell="C2" sqref="C2:G2"/>
    </sheetView>
  </sheetViews>
  <sheetFormatPr defaultColWidth="9.125" defaultRowHeight="15" x14ac:dyDescent="0.3"/>
  <cols>
    <col min="1" max="1" width="3.125" style="1" customWidth="1"/>
    <col min="2" max="2" width="75.5" style="1" customWidth="1"/>
    <col min="3" max="3" width="50" style="2" customWidth="1"/>
    <col min="4" max="4" width="6.25" style="1" bestFit="1" customWidth="1"/>
    <col min="5" max="5" width="14.875" style="1" bestFit="1" customWidth="1"/>
    <col min="6" max="10" width="41.75" style="1" bestFit="1" customWidth="1"/>
    <col min="11" max="11" width="3.125" style="1" customWidth="1"/>
    <col min="12" max="12" width="72.625" style="1" bestFit="1" customWidth="1"/>
    <col min="13" max="13" width="10.75" style="1" bestFit="1" customWidth="1"/>
    <col min="14" max="14" width="3.125" style="1" customWidth="1"/>
    <col min="15" max="15" width="34" style="1" bestFit="1" customWidth="1"/>
    <col min="16" max="16" width="53.375" style="1" bestFit="1" customWidth="1"/>
    <col min="17" max="17" width="10.75" style="1" bestFit="1" customWidth="1"/>
    <col min="18" max="18" width="10.625" style="1" bestFit="1" customWidth="1"/>
    <col min="19" max="20" width="9.875" style="1" bestFit="1" customWidth="1"/>
    <col min="21" max="16384" width="9.125" style="1"/>
  </cols>
  <sheetData>
    <row r="1" spans="2:19" ht="15.6" thickBot="1" x14ac:dyDescent="0.35"/>
    <row r="2" spans="2:19" ht="66" customHeight="1" thickBot="1" x14ac:dyDescent="0.35">
      <c r="C2" s="64" t="s">
        <v>140</v>
      </c>
      <c r="D2" s="65"/>
      <c r="E2" s="65"/>
      <c r="F2" s="65"/>
      <c r="G2" s="66"/>
      <c r="H2" s="29"/>
      <c r="I2" s="29"/>
      <c r="J2" s="29"/>
    </row>
    <row r="4" spans="2:19" x14ac:dyDescent="0.3">
      <c r="C4" s="9"/>
      <c r="D4" s="23" t="s">
        <v>86</v>
      </c>
      <c r="E4" s="23" t="s">
        <v>87</v>
      </c>
      <c r="F4" s="59"/>
      <c r="G4" s="59"/>
      <c r="H4" s="59"/>
      <c r="I4" s="59"/>
      <c r="J4" s="59"/>
      <c r="L4" s="33" t="s">
        <v>51</v>
      </c>
      <c r="M4" s="34"/>
      <c r="O4" s="33" t="s">
        <v>52</v>
      </c>
      <c r="P4" s="40"/>
      <c r="Q4" s="40"/>
      <c r="R4" s="40"/>
      <c r="S4" s="34"/>
    </row>
    <row r="5" spans="2:19" x14ac:dyDescent="0.3">
      <c r="C5" s="8" t="s">
        <v>3</v>
      </c>
      <c r="D5" s="15"/>
      <c r="E5" s="23"/>
      <c r="F5" s="60" t="s">
        <v>123</v>
      </c>
      <c r="G5" s="60"/>
      <c r="H5" s="60"/>
      <c r="I5" s="60"/>
      <c r="J5" s="60"/>
      <c r="L5" s="19" t="s">
        <v>3</v>
      </c>
      <c r="M5" s="19" t="s">
        <v>16</v>
      </c>
      <c r="O5" s="33" t="s">
        <v>2</v>
      </c>
      <c r="P5" s="34"/>
      <c r="Q5" s="19" t="s">
        <v>16</v>
      </c>
      <c r="R5" s="19" t="s">
        <v>13</v>
      </c>
      <c r="S5" s="19" t="s">
        <v>36</v>
      </c>
    </row>
    <row r="6" spans="2:19" x14ac:dyDescent="0.3">
      <c r="C6" s="8" t="s">
        <v>135</v>
      </c>
      <c r="D6" s="30" t="str">
        <f>IF(E6="DWT","(ton)",IF(E6="GT","(-)",""))</f>
        <v>(ton)</v>
      </c>
      <c r="E6" s="23" t="str">
        <f>IFERROR(VLOOKUP(F5,L6:M18,2,FALSE),"")</f>
        <v>DWT</v>
      </c>
      <c r="F6" s="60">
        <v>200000</v>
      </c>
      <c r="G6" s="60"/>
      <c r="H6" s="60"/>
      <c r="I6" s="60"/>
      <c r="J6" s="60"/>
      <c r="L6" s="23" t="s">
        <v>6</v>
      </c>
      <c r="M6" s="23" t="s">
        <v>21</v>
      </c>
      <c r="O6" s="41" t="s">
        <v>6</v>
      </c>
      <c r="P6" s="23" t="s">
        <v>55</v>
      </c>
      <c r="Q6" s="25">
        <v>279000</v>
      </c>
      <c r="R6" s="23">
        <v>4745</v>
      </c>
      <c r="S6" s="24">
        <v>0.622</v>
      </c>
    </row>
    <row r="7" spans="2:19" x14ac:dyDescent="0.3">
      <c r="C7" s="8" t="s">
        <v>18</v>
      </c>
      <c r="D7" s="15" t="s">
        <v>33</v>
      </c>
      <c r="E7" s="23" t="s">
        <v>17</v>
      </c>
      <c r="F7" s="61">
        <v>60000</v>
      </c>
      <c r="G7" s="62"/>
      <c r="H7" s="62"/>
      <c r="I7" s="62"/>
      <c r="J7" s="63"/>
      <c r="L7" s="23" t="s">
        <v>7</v>
      </c>
      <c r="M7" s="23" t="s">
        <v>21</v>
      </c>
      <c r="O7" s="41"/>
      <c r="P7" s="23" t="s">
        <v>56</v>
      </c>
      <c r="Q7" s="23" t="s">
        <v>20</v>
      </c>
      <c r="R7" s="23">
        <v>4745</v>
      </c>
      <c r="S7" s="24">
        <v>0.622</v>
      </c>
    </row>
    <row r="8" spans="2:19" x14ac:dyDescent="0.3">
      <c r="L8" s="23" t="s">
        <v>8</v>
      </c>
      <c r="M8" s="23" t="s">
        <v>21</v>
      </c>
      <c r="O8" s="42" t="s">
        <v>7</v>
      </c>
      <c r="P8" s="23" t="s">
        <v>57</v>
      </c>
      <c r="Q8" s="23" t="s">
        <v>20</v>
      </c>
      <c r="R8" s="26">
        <v>144050000000</v>
      </c>
      <c r="S8" s="24">
        <v>2.0710000000000002</v>
      </c>
    </row>
    <row r="9" spans="2:19" x14ac:dyDescent="0.3">
      <c r="C9" s="8" t="s">
        <v>91</v>
      </c>
      <c r="D9" s="15"/>
      <c r="E9" s="23" t="s">
        <v>95</v>
      </c>
      <c r="F9" s="3" t="s">
        <v>25</v>
      </c>
      <c r="G9" s="3" t="s">
        <v>136</v>
      </c>
      <c r="H9" s="3" t="s">
        <v>137</v>
      </c>
      <c r="I9" s="3" t="s">
        <v>138</v>
      </c>
      <c r="J9" s="3" t="s">
        <v>139</v>
      </c>
      <c r="L9" s="23" t="s">
        <v>9</v>
      </c>
      <c r="M9" s="23" t="s">
        <v>21</v>
      </c>
      <c r="O9" s="42"/>
      <c r="P9" s="23" t="s">
        <v>58</v>
      </c>
      <c r="Q9" s="23" t="s">
        <v>20</v>
      </c>
      <c r="R9" s="23">
        <v>8104</v>
      </c>
      <c r="S9" s="24">
        <v>0.63900000000000001</v>
      </c>
    </row>
    <row r="10" spans="2:19" x14ac:dyDescent="0.3">
      <c r="C10" s="8" t="s">
        <v>101</v>
      </c>
      <c r="D10" s="15" t="s">
        <v>19</v>
      </c>
      <c r="E10" s="23" t="s">
        <v>1</v>
      </c>
      <c r="F10" s="12">
        <f>IF(F9&lt;&gt;"",VLOOKUP(F9,$L22:$M29,2,FALSE),0)</f>
        <v>3.206</v>
      </c>
      <c r="G10" s="12">
        <f t="shared" ref="G10:J10" si="0">IF(G9&lt;&gt;"",VLOOKUP(G9,$L22:$M29,2,FALSE),0)</f>
        <v>3.1509999999999998</v>
      </c>
      <c r="H10" s="12">
        <f>IF(H9&lt;&gt;"",VLOOKUP(H9,$L22:$M29,2,FALSE),0)</f>
        <v>3.1139999999999999</v>
      </c>
      <c r="I10" s="12">
        <f t="shared" si="0"/>
        <v>2.75</v>
      </c>
      <c r="J10" s="12">
        <f t="shared" si="0"/>
        <v>1.375</v>
      </c>
      <c r="L10" s="23" t="s">
        <v>5</v>
      </c>
      <c r="M10" s="23" t="s">
        <v>21</v>
      </c>
      <c r="O10" s="23" t="s">
        <v>8</v>
      </c>
      <c r="P10" s="23"/>
      <c r="Q10" s="23" t="s">
        <v>20</v>
      </c>
      <c r="R10" s="23">
        <v>5247</v>
      </c>
      <c r="S10" s="24">
        <v>0.61</v>
      </c>
    </row>
    <row r="11" spans="2:19" x14ac:dyDescent="0.3">
      <c r="C11" s="8" t="s">
        <v>92</v>
      </c>
      <c r="D11" s="15" t="s">
        <v>35</v>
      </c>
      <c r="E11" s="23" t="s">
        <v>0</v>
      </c>
      <c r="F11" s="3">
        <v>500</v>
      </c>
      <c r="G11" s="3"/>
      <c r="H11" s="3">
        <v>8000</v>
      </c>
      <c r="I11" s="3"/>
      <c r="J11" s="3"/>
      <c r="L11" s="23" t="s">
        <v>10</v>
      </c>
      <c r="M11" s="23" t="s">
        <v>21</v>
      </c>
      <c r="O11" s="23" t="s">
        <v>9</v>
      </c>
      <c r="P11" s="23"/>
      <c r="Q11" s="23" t="s">
        <v>20</v>
      </c>
      <c r="R11" s="23">
        <v>1984</v>
      </c>
      <c r="S11" s="24">
        <v>0.48899999999999999</v>
      </c>
    </row>
    <row r="12" spans="2:19" x14ac:dyDescent="0.3">
      <c r="L12" s="23" t="s">
        <v>11</v>
      </c>
      <c r="M12" s="23" t="s">
        <v>21</v>
      </c>
      <c r="O12" s="41" t="s">
        <v>39</v>
      </c>
      <c r="P12" s="23" t="s">
        <v>60</v>
      </c>
      <c r="Q12" s="23" t="s">
        <v>20</v>
      </c>
      <c r="R12" s="23">
        <v>31948</v>
      </c>
      <c r="S12" s="24">
        <v>0.79200000000000004</v>
      </c>
    </row>
    <row r="13" spans="2:19" x14ac:dyDescent="0.3">
      <c r="B13" s="33" t="s">
        <v>89</v>
      </c>
      <c r="C13" s="40"/>
      <c r="D13" s="40"/>
      <c r="E13" s="40"/>
      <c r="F13" s="40"/>
      <c r="G13" s="40"/>
      <c r="H13" s="40"/>
      <c r="I13" s="40"/>
      <c r="J13" s="34"/>
      <c r="L13" s="23" t="s">
        <v>4</v>
      </c>
      <c r="M13" s="23" t="s">
        <v>21</v>
      </c>
      <c r="O13" s="41"/>
      <c r="P13" s="23" t="s">
        <v>62</v>
      </c>
      <c r="Q13" s="23" t="s">
        <v>20</v>
      </c>
      <c r="R13" s="23">
        <v>588</v>
      </c>
      <c r="S13" s="24">
        <v>0.38850000000000001</v>
      </c>
    </row>
    <row r="14" spans="2:19" x14ac:dyDescent="0.3">
      <c r="B14" s="11" t="s">
        <v>124</v>
      </c>
      <c r="C14" s="8" t="s">
        <v>103</v>
      </c>
      <c r="D14" s="15" t="s">
        <v>33</v>
      </c>
      <c r="E14" s="23" t="s">
        <v>59</v>
      </c>
      <c r="F14" s="43"/>
      <c r="G14" s="44"/>
      <c r="H14" s="44"/>
      <c r="I14" s="44"/>
      <c r="J14" s="45"/>
      <c r="L14" s="23" t="s">
        <v>14</v>
      </c>
      <c r="M14" s="23" t="s">
        <v>23</v>
      </c>
      <c r="O14" s="23" t="s">
        <v>40</v>
      </c>
      <c r="P14" s="23"/>
      <c r="Q14" s="23" t="s">
        <v>20</v>
      </c>
      <c r="R14" s="23">
        <v>4600</v>
      </c>
      <c r="S14" s="24">
        <v>0.55700000000000005</v>
      </c>
    </row>
    <row r="15" spans="2:19" x14ac:dyDescent="0.3">
      <c r="B15" s="11" t="s">
        <v>125</v>
      </c>
      <c r="C15" s="8" t="s">
        <v>102</v>
      </c>
      <c r="D15" s="15" t="s">
        <v>35</v>
      </c>
      <c r="E15" s="23" t="s">
        <v>61</v>
      </c>
      <c r="F15" s="4"/>
      <c r="G15" s="4"/>
      <c r="H15" s="4"/>
      <c r="I15" s="4"/>
      <c r="J15" s="4"/>
      <c r="L15" s="23" t="s">
        <v>41</v>
      </c>
      <c r="M15" s="23" t="s">
        <v>23</v>
      </c>
      <c r="O15" s="23" t="s">
        <v>11</v>
      </c>
      <c r="P15" s="23"/>
      <c r="Q15" s="23" t="s">
        <v>20</v>
      </c>
      <c r="R15" s="23">
        <v>5119</v>
      </c>
      <c r="S15" s="24">
        <v>0.622</v>
      </c>
    </row>
    <row r="16" spans="2:19" x14ac:dyDescent="0.3">
      <c r="L16" s="23" t="s">
        <v>15</v>
      </c>
      <c r="M16" s="23" t="s">
        <v>23</v>
      </c>
      <c r="O16" s="41" t="s">
        <v>4</v>
      </c>
      <c r="P16" s="23" t="s">
        <v>64</v>
      </c>
      <c r="Q16" s="23" t="s">
        <v>20</v>
      </c>
      <c r="R16" s="23">
        <v>9.827</v>
      </c>
      <c r="S16" s="24">
        <v>0</v>
      </c>
    </row>
    <row r="17" spans="2:20" x14ac:dyDescent="0.3">
      <c r="B17" s="33" t="s">
        <v>111</v>
      </c>
      <c r="C17" s="40"/>
      <c r="D17" s="40"/>
      <c r="E17" s="40"/>
      <c r="F17" s="40"/>
      <c r="G17" s="40"/>
      <c r="H17" s="40"/>
      <c r="I17" s="40"/>
      <c r="J17" s="34"/>
      <c r="L17" s="20" t="s">
        <v>65</v>
      </c>
      <c r="M17" s="21" t="s">
        <v>23</v>
      </c>
      <c r="O17" s="41"/>
      <c r="P17" s="23" t="s">
        <v>66</v>
      </c>
      <c r="Q17" s="23" t="s">
        <v>20</v>
      </c>
      <c r="R17" s="26">
        <v>144790000000000</v>
      </c>
      <c r="S17" s="24">
        <v>2.673</v>
      </c>
    </row>
    <row r="18" spans="2:20" ht="15.75" customHeight="1" x14ac:dyDescent="0.3">
      <c r="B18" s="46" t="s">
        <v>126</v>
      </c>
      <c r="C18" s="8" t="s">
        <v>105</v>
      </c>
      <c r="D18" s="15" t="s">
        <v>19</v>
      </c>
      <c r="E18" s="23" t="s">
        <v>90</v>
      </c>
      <c r="F18" s="43"/>
      <c r="G18" s="44"/>
      <c r="H18" s="44"/>
      <c r="I18" s="45"/>
      <c r="J18" s="12" t="str">
        <f>IFERROR(IF(F18="STS voyages",6.1742*F6^(-0.246),IF(F18="Shuttle Tanker with Dynamic Positioning",5.6805*F6^(-0.208),"")),"")</f>
        <v/>
      </c>
      <c r="L18" s="23" t="s">
        <v>12</v>
      </c>
      <c r="M18" s="23" t="s">
        <v>23</v>
      </c>
      <c r="O18" s="41"/>
      <c r="P18" s="23" t="s">
        <v>58</v>
      </c>
      <c r="Q18" s="25">
        <v>65000</v>
      </c>
      <c r="R18" s="26">
        <v>144790000000000</v>
      </c>
      <c r="S18" s="24">
        <v>2.673</v>
      </c>
    </row>
    <row r="19" spans="2:20" x14ac:dyDescent="0.3">
      <c r="B19" s="47"/>
      <c r="C19" s="8" t="s">
        <v>109</v>
      </c>
      <c r="D19" s="15" t="s">
        <v>35</v>
      </c>
      <c r="E19" s="23" t="s">
        <v>88</v>
      </c>
      <c r="F19" s="4"/>
      <c r="G19" s="4"/>
      <c r="H19" s="4"/>
      <c r="I19" s="4"/>
      <c r="J19" s="4"/>
      <c r="O19" s="41" t="s">
        <v>14</v>
      </c>
      <c r="P19" s="25" t="s">
        <v>69</v>
      </c>
      <c r="Q19" s="25">
        <v>57700</v>
      </c>
      <c r="R19" s="23">
        <v>3627</v>
      </c>
      <c r="S19" s="24">
        <v>0.59</v>
      </c>
    </row>
    <row r="20" spans="2:20" x14ac:dyDescent="0.3">
      <c r="B20" s="48"/>
      <c r="C20" s="8" t="s">
        <v>104</v>
      </c>
      <c r="D20" s="15" t="s">
        <v>35</v>
      </c>
      <c r="E20" s="23" t="s">
        <v>63</v>
      </c>
      <c r="F20" s="12">
        <f>IFERROR(IF($F18&lt;&gt;"",(1-$J18)*F19,0),0)</f>
        <v>0</v>
      </c>
      <c r="G20" s="12">
        <f t="shared" ref="G20:I20" si="1">IFERROR(IF($F18&lt;&gt;"",(1-$J18)*G19,0),0)</f>
        <v>0</v>
      </c>
      <c r="H20" s="12">
        <f>IFERROR(IF($F18&lt;&gt;"",(1-$J18)*H19,0),0)</f>
        <v>0</v>
      </c>
      <c r="I20" s="12">
        <f t="shared" si="1"/>
        <v>0</v>
      </c>
      <c r="J20" s="12">
        <f>IFERROR(IF($F18&lt;&gt;"",(1-$J18)*J19,0),0)</f>
        <v>0</v>
      </c>
      <c r="L20" s="33" t="s">
        <v>116</v>
      </c>
      <c r="M20" s="34"/>
      <c r="O20" s="41"/>
      <c r="P20" s="23" t="s">
        <v>71</v>
      </c>
      <c r="Q20" s="23" t="s">
        <v>22</v>
      </c>
      <c r="R20" s="23">
        <v>3627</v>
      </c>
      <c r="S20" s="24">
        <v>0.59</v>
      </c>
    </row>
    <row r="21" spans="2:20" x14ac:dyDescent="0.3">
      <c r="B21" s="11" t="s">
        <v>127</v>
      </c>
      <c r="C21" s="49" t="s">
        <v>106</v>
      </c>
      <c r="D21" s="52" t="s">
        <v>35</v>
      </c>
      <c r="E21" s="35" t="s">
        <v>67</v>
      </c>
      <c r="F21" s="56"/>
      <c r="G21" s="56"/>
      <c r="H21" s="56"/>
      <c r="I21" s="56"/>
      <c r="J21" s="56"/>
      <c r="L21" s="19" t="s">
        <v>91</v>
      </c>
      <c r="M21" s="19" t="s">
        <v>24</v>
      </c>
      <c r="O21" s="41"/>
      <c r="P21" s="23" t="s">
        <v>73</v>
      </c>
      <c r="Q21" s="23" t="s">
        <v>22</v>
      </c>
      <c r="R21" s="23">
        <v>330</v>
      </c>
      <c r="S21" s="24">
        <v>0.32900000000000001</v>
      </c>
    </row>
    <row r="22" spans="2:20" x14ac:dyDescent="0.3">
      <c r="B22" s="11" t="s">
        <v>128</v>
      </c>
      <c r="C22" s="50"/>
      <c r="D22" s="53"/>
      <c r="E22" s="55"/>
      <c r="F22" s="57"/>
      <c r="G22" s="57"/>
      <c r="H22" s="57"/>
      <c r="I22" s="57"/>
      <c r="J22" s="57"/>
      <c r="L22" s="23" t="s">
        <v>25</v>
      </c>
      <c r="M22" s="22">
        <v>3.206</v>
      </c>
      <c r="O22" s="23" t="s">
        <v>41</v>
      </c>
      <c r="P22" s="23"/>
      <c r="Q22" s="23" t="s">
        <v>23</v>
      </c>
      <c r="R22" s="23">
        <v>1967</v>
      </c>
      <c r="S22" s="24">
        <v>0.48499999999999999</v>
      </c>
    </row>
    <row r="23" spans="2:20" x14ac:dyDescent="0.3">
      <c r="B23" s="11" t="s">
        <v>129</v>
      </c>
      <c r="C23" s="51"/>
      <c r="D23" s="54"/>
      <c r="E23" s="36"/>
      <c r="F23" s="58"/>
      <c r="G23" s="58"/>
      <c r="H23" s="58"/>
      <c r="I23" s="58"/>
      <c r="J23" s="58"/>
      <c r="L23" s="23" t="s">
        <v>26</v>
      </c>
      <c r="M23" s="22">
        <v>3.1509999999999998</v>
      </c>
      <c r="O23" s="41" t="s">
        <v>15</v>
      </c>
      <c r="P23" s="23" t="s">
        <v>15</v>
      </c>
      <c r="Q23" s="23" t="s">
        <v>22</v>
      </c>
      <c r="R23" s="23">
        <v>2023</v>
      </c>
      <c r="S23" s="24">
        <v>0.46</v>
      </c>
    </row>
    <row r="24" spans="2:20" x14ac:dyDescent="0.3">
      <c r="B24" s="11" t="s">
        <v>130</v>
      </c>
      <c r="C24" s="8" t="s">
        <v>107</v>
      </c>
      <c r="D24" s="15" t="s">
        <v>35</v>
      </c>
      <c r="E24" s="23" t="s">
        <v>68</v>
      </c>
      <c r="F24" s="4"/>
      <c r="G24" s="4"/>
      <c r="H24" s="4"/>
      <c r="I24" s="4"/>
      <c r="J24" s="4"/>
      <c r="L24" s="23" t="s">
        <v>27</v>
      </c>
      <c r="M24" s="22">
        <v>3.1139999999999999</v>
      </c>
      <c r="O24" s="41"/>
      <c r="P24" s="23" t="s">
        <v>77</v>
      </c>
      <c r="Q24" s="23" t="s">
        <v>22</v>
      </c>
      <c r="R24" s="23">
        <v>4196</v>
      </c>
      <c r="S24" s="24">
        <v>0.46</v>
      </c>
    </row>
    <row r="25" spans="2:20" x14ac:dyDescent="0.3">
      <c r="B25" s="11" t="s">
        <v>131</v>
      </c>
      <c r="C25" s="8" t="s">
        <v>108</v>
      </c>
      <c r="D25" s="15" t="s">
        <v>35</v>
      </c>
      <c r="E25" s="13" t="s">
        <v>70</v>
      </c>
      <c r="F25" s="4"/>
      <c r="G25" s="4"/>
      <c r="H25" s="4"/>
      <c r="I25" s="4"/>
      <c r="J25" s="5"/>
      <c r="L25" s="23" t="s">
        <v>32</v>
      </c>
      <c r="M25" s="22">
        <v>3</v>
      </c>
      <c r="O25" s="23" t="s">
        <v>12</v>
      </c>
      <c r="P25" s="23"/>
      <c r="Q25" s="23" t="s">
        <v>22</v>
      </c>
      <c r="R25" s="23">
        <v>930</v>
      </c>
      <c r="S25" s="24">
        <v>0.38300000000000001</v>
      </c>
    </row>
    <row r="26" spans="2:20" x14ac:dyDescent="0.3">
      <c r="B26" s="28"/>
      <c r="C26" s="8" t="s">
        <v>110</v>
      </c>
      <c r="D26" s="15" t="s">
        <v>35</v>
      </c>
      <c r="E26" s="13" t="s">
        <v>100</v>
      </c>
      <c r="F26" s="12">
        <f>IFERROR(F21+F24+F25,0)</f>
        <v>0</v>
      </c>
      <c r="G26" s="12">
        <f t="shared" ref="G26:J26" si="2">IFERROR(G21+G24+G25,0)</f>
        <v>0</v>
      </c>
      <c r="H26" s="12">
        <f>IFERROR(H21+H24+H25,0)</f>
        <v>0</v>
      </c>
      <c r="I26" s="12">
        <f t="shared" si="2"/>
        <v>0</v>
      </c>
      <c r="J26" s="12">
        <f t="shared" si="2"/>
        <v>0</v>
      </c>
      <c r="L26" s="23" t="s">
        <v>31</v>
      </c>
      <c r="M26" s="22">
        <v>3.03</v>
      </c>
    </row>
    <row r="27" spans="2:20" x14ac:dyDescent="0.3">
      <c r="L27" s="23" t="s">
        <v>29</v>
      </c>
      <c r="M27" s="22">
        <v>2.75</v>
      </c>
      <c r="O27" s="33" t="s">
        <v>53</v>
      </c>
      <c r="P27" s="40"/>
      <c r="Q27" s="40"/>
      <c r="R27" s="40"/>
      <c r="S27" s="40"/>
      <c r="T27" s="34"/>
    </row>
    <row r="28" spans="2:20" x14ac:dyDescent="0.3">
      <c r="B28" s="33" t="s">
        <v>72</v>
      </c>
      <c r="C28" s="40"/>
      <c r="D28" s="40"/>
      <c r="E28" s="40"/>
      <c r="F28" s="40"/>
      <c r="G28" s="40"/>
      <c r="H28" s="40"/>
      <c r="I28" s="40"/>
      <c r="J28" s="34"/>
      <c r="L28" s="23" t="s">
        <v>30</v>
      </c>
      <c r="M28" s="22">
        <v>1.375</v>
      </c>
      <c r="O28" s="33" t="s">
        <v>2</v>
      </c>
      <c r="P28" s="34"/>
      <c r="Q28" s="19" t="s">
        <v>47</v>
      </c>
      <c r="R28" s="19" t="s">
        <v>96</v>
      </c>
      <c r="S28" s="19" t="s">
        <v>97</v>
      </c>
      <c r="T28" s="19" t="s">
        <v>98</v>
      </c>
    </row>
    <row r="29" spans="2:20" x14ac:dyDescent="0.3">
      <c r="B29" s="46" t="s">
        <v>132</v>
      </c>
      <c r="C29" s="8" t="s">
        <v>99</v>
      </c>
      <c r="D29" s="15"/>
      <c r="E29" s="13" t="s">
        <v>94</v>
      </c>
      <c r="F29" s="43"/>
      <c r="G29" s="44"/>
      <c r="H29" s="44"/>
      <c r="I29" s="44"/>
      <c r="J29" s="45"/>
      <c r="L29" s="23" t="s">
        <v>28</v>
      </c>
      <c r="M29" s="22">
        <v>1.913</v>
      </c>
      <c r="O29" s="23" t="s">
        <v>45</v>
      </c>
      <c r="P29" s="23"/>
      <c r="Q29" s="27">
        <v>0.86</v>
      </c>
      <c r="R29" s="27">
        <v>0.94</v>
      </c>
      <c r="S29" s="27">
        <v>1.06</v>
      </c>
      <c r="T29" s="27">
        <v>1.18</v>
      </c>
    </row>
    <row r="30" spans="2:20" x14ac:dyDescent="0.3">
      <c r="B30" s="47"/>
      <c r="C30" s="8" t="s">
        <v>93</v>
      </c>
      <c r="D30" s="15" t="s">
        <v>19</v>
      </c>
      <c r="E30" s="13" t="s">
        <v>74</v>
      </c>
      <c r="F30" s="12">
        <f>IFERROR(J31*J30,1)</f>
        <v>1</v>
      </c>
      <c r="G30" s="14" t="s">
        <v>81</v>
      </c>
      <c r="H30" s="4"/>
      <c r="I30" s="14" t="s">
        <v>80</v>
      </c>
      <c r="J30" s="12" t="str">
        <f>IFERROR(IF(OR(F5="Bulk Carrier",F5="Tanker",F5="General Cargo Ship"),MAX(H31/H30,1),1),"")</f>
        <v/>
      </c>
      <c r="O30" s="31" t="s">
        <v>7</v>
      </c>
      <c r="P30" s="23" t="s">
        <v>37</v>
      </c>
      <c r="Q30" s="27">
        <v>0.81</v>
      </c>
      <c r="R30" s="27">
        <v>0.91</v>
      </c>
      <c r="S30" s="27">
        <v>1.1200000000000001</v>
      </c>
      <c r="T30" s="27">
        <v>1.44</v>
      </c>
    </row>
    <row r="31" spans="2:20" ht="15.75" customHeight="1" x14ac:dyDescent="0.3">
      <c r="B31" s="48"/>
      <c r="C31" s="8" t="s">
        <v>112</v>
      </c>
      <c r="D31" s="15" t="s">
        <v>19</v>
      </c>
      <c r="E31" s="13" t="s">
        <v>75</v>
      </c>
      <c r="F31" s="12">
        <f>IF(OR(F29="IA",F29="IA Super"),1.05,1)</f>
        <v>1</v>
      </c>
      <c r="G31" s="14" t="s">
        <v>85</v>
      </c>
      <c r="H31" s="12">
        <f>IF(AND(F5="Bulk Carrier",F6&lt;10000),0.78,IF(AND(F5="Bulk Carrier",F6&lt;25000),0.8,IF(AND(F5="Bulk Carrier",F6&lt;55000),0.82,IF(AND(F5="Bulk Carrier",F6&lt;75000),0.86,IF(F5="Bulk Carrier",0.86,IF(AND(F5="Tanker",F6&lt;10000),0.78,IF(AND(F5="Tanker",F6&lt;25000),0.78,IF(AND(F5="Tanker",F6&lt;55000),0.8,IF(AND(F5="Tanker",F6&lt;75000),0.83,IF(AND(F5="Tanker",F6&lt;75000),0.83,IF(F5="Tanker",0.83,IF(F5="General Cargo Ship",0.8,""))))))))))))</f>
        <v>0.86</v>
      </c>
      <c r="I31" s="14" t="s">
        <v>79</v>
      </c>
      <c r="J31" s="12" t="str">
        <f>IFERROR(IF(F29="IC",1.0041+58.5/F6,IF(F29="IB",1.0067+62.7/F6,IF(F29="IA",1.0099+95.1/F6,IF(F29="IA Super",1.0151+228.7/F6,"")))),"")</f>
        <v/>
      </c>
      <c r="L31" s="33" t="s">
        <v>54</v>
      </c>
      <c r="M31" s="34"/>
      <c r="O31" s="32"/>
      <c r="P31" s="23" t="s">
        <v>38</v>
      </c>
      <c r="Q31" s="27">
        <v>0.85</v>
      </c>
      <c r="R31" s="27">
        <v>0.95</v>
      </c>
      <c r="S31" s="27">
        <v>1.06</v>
      </c>
      <c r="T31" s="27">
        <v>1.25</v>
      </c>
    </row>
    <row r="32" spans="2:20" x14ac:dyDescent="0.3">
      <c r="B32" s="11" t="s">
        <v>133</v>
      </c>
      <c r="C32" s="8" t="s">
        <v>113</v>
      </c>
      <c r="D32" s="15" t="s">
        <v>19</v>
      </c>
      <c r="E32" s="13" t="s">
        <v>76</v>
      </c>
      <c r="F32" s="12">
        <f>IFERROR(IF(J32&lt;0.98,J32^(-0.7)-0.014,1),1)</f>
        <v>1</v>
      </c>
      <c r="G32" s="14" t="s">
        <v>115</v>
      </c>
      <c r="H32" s="4"/>
      <c r="I32" s="14" t="s">
        <v>84</v>
      </c>
      <c r="J32" s="12" t="str">
        <f>IFERROR(F6/H32,"")</f>
        <v/>
      </c>
      <c r="L32" s="19" t="s">
        <v>44</v>
      </c>
      <c r="M32" s="19" t="s">
        <v>50</v>
      </c>
      <c r="O32" s="23" t="s">
        <v>8</v>
      </c>
      <c r="P32" s="23"/>
      <c r="Q32" s="27">
        <v>0.82</v>
      </c>
      <c r="R32" s="27">
        <v>0.93</v>
      </c>
      <c r="S32" s="27">
        <v>1.08</v>
      </c>
      <c r="T32" s="27">
        <v>1.28</v>
      </c>
    </row>
    <row r="33" spans="2:20" x14ac:dyDescent="0.3">
      <c r="B33" s="11" t="s">
        <v>134</v>
      </c>
      <c r="C33" s="8" t="s">
        <v>114</v>
      </c>
      <c r="D33" s="15" t="s">
        <v>19</v>
      </c>
      <c r="E33" s="13" t="s">
        <v>78</v>
      </c>
      <c r="F33" s="12">
        <f>IFERROR(H33/J33,1)</f>
        <v>1</v>
      </c>
      <c r="G33" s="14" t="s">
        <v>82</v>
      </c>
      <c r="H33" s="4"/>
      <c r="I33" s="14" t="s">
        <v>83</v>
      </c>
      <c r="J33" s="4"/>
      <c r="L33" s="23">
        <v>2023</v>
      </c>
      <c r="M33" s="23">
        <v>5</v>
      </c>
      <c r="O33" s="23" t="s">
        <v>9</v>
      </c>
      <c r="P33" s="23"/>
      <c r="Q33" s="27">
        <v>0.83</v>
      </c>
      <c r="R33" s="27">
        <v>0.94</v>
      </c>
      <c r="S33" s="27">
        <v>1.07</v>
      </c>
      <c r="T33" s="27">
        <v>1.19</v>
      </c>
    </row>
    <row r="34" spans="2:20" x14ac:dyDescent="0.3">
      <c r="L34" s="23">
        <v>2024</v>
      </c>
      <c r="M34" s="23">
        <v>7</v>
      </c>
      <c r="O34" s="23" t="s">
        <v>39</v>
      </c>
      <c r="P34" s="23"/>
      <c r="Q34" s="27">
        <v>0.83</v>
      </c>
      <c r="R34" s="27">
        <v>0.94</v>
      </c>
      <c r="S34" s="27">
        <v>1.06</v>
      </c>
      <c r="T34" s="27">
        <v>1.19</v>
      </c>
    </row>
    <row r="35" spans="2:20" x14ac:dyDescent="0.3">
      <c r="C35" s="8" t="s">
        <v>44</v>
      </c>
      <c r="D35" s="15"/>
      <c r="E35" s="23"/>
      <c r="F35" s="3">
        <v>2026</v>
      </c>
      <c r="G35" s="10">
        <f>IF($F35&lt;&gt;"",F35+1,"")</f>
        <v>2027</v>
      </c>
      <c r="H35" s="10">
        <f>IF($F35&lt;&gt;"",G35+1,"")</f>
        <v>2028</v>
      </c>
      <c r="I35" s="10">
        <f>IF($F35&lt;&gt;"",H35+1,"")</f>
        <v>2029</v>
      </c>
      <c r="J35" s="10">
        <f>IF($F35&lt;&gt;"",I35+1,"")</f>
        <v>2030</v>
      </c>
      <c r="L35" s="23">
        <v>2025</v>
      </c>
      <c r="M35" s="23">
        <v>9</v>
      </c>
      <c r="O35" s="23" t="s">
        <v>40</v>
      </c>
      <c r="P35" s="23"/>
      <c r="Q35" s="27">
        <v>0.78</v>
      </c>
      <c r="R35" s="27">
        <v>0.91</v>
      </c>
      <c r="S35" s="27">
        <v>1.07</v>
      </c>
      <c r="T35" s="27">
        <v>1.2</v>
      </c>
    </row>
    <row r="36" spans="2:20" x14ac:dyDescent="0.3">
      <c r="C36" s="16" t="s">
        <v>43</v>
      </c>
      <c r="D36" s="15" t="s">
        <v>48</v>
      </c>
      <c r="E36" s="23" t="s">
        <v>50</v>
      </c>
      <c r="F36" s="10">
        <f>IFERROR(VLOOKUP(F35,$L33:$M40,2,FALSE),"")</f>
        <v>11</v>
      </c>
      <c r="G36" s="10">
        <f>IFERROR(VLOOKUP(G35,$L33:$M40,2,FALSE),"")</f>
        <v>13.625</v>
      </c>
      <c r="H36" s="10">
        <f>IFERROR(VLOOKUP(H35,$L33:$M40,2,FALSE),"")</f>
        <v>16.25</v>
      </c>
      <c r="I36" s="10">
        <f>IFERROR(VLOOKUP(I35,$L33:$M40,2,FALSE),"")</f>
        <v>18.875</v>
      </c>
      <c r="J36" s="10">
        <f>IFERROR(VLOOKUP(J35,$L33:$M40,2,FALSE),"")</f>
        <v>21.5</v>
      </c>
      <c r="L36" s="23">
        <v>2026</v>
      </c>
      <c r="M36" s="23">
        <v>11</v>
      </c>
      <c r="O36" s="23" t="s">
        <v>11</v>
      </c>
      <c r="P36" s="23"/>
      <c r="Q36" s="27">
        <v>0.87</v>
      </c>
      <c r="R36" s="27">
        <v>0.96</v>
      </c>
      <c r="S36" s="27">
        <v>1.06</v>
      </c>
      <c r="T36" s="27">
        <v>1.1399999999999999</v>
      </c>
    </row>
    <row r="37" spans="2:20" x14ac:dyDescent="0.3">
      <c r="C37" s="16" t="s">
        <v>122</v>
      </c>
      <c r="D37" s="15" t="s">
        <v>19</v>
      </c>
      <c r="E37" s="23"/>
      <c r="F37" s="12">
        <f>IFERROR((100-F36)/100*IF(AND(F5=O6,F6&lt;279000),R7*F6^(-S7),IF(F5=O6,R6*Q6^(-S6),IF(AND(F5=O8,F6&lt;65000),R9*F6^(-S9),IF(AND(F5=O12,F6&lt;20000),R13*F6^(-S13),IF(AND(F5=O16,F6&lt;&gt;0,F6&lt;65000),R18*Q18^(-S18),IF(AND(F5=O16,F6&lt;100000),R17*F6^(-S17),IF(AND(F5=O19,F6&lt;30000),R21*F6^(-S21),IF(AND(F5=O19,F6&lt;57700),R20*F6^(-S20),IF(F5=O23&amp;" - "&amp;P24,R24*F6^(-S24),VLOOKUP(F5,O6:S25,4,FALSE)*F6^(-VLOOKUP(F5,O6:S25,5,FALSE))))))))))),"")</f>
        <v>2.1300292441358111</v>
      </c>
      <c r="G37" s="12">
        <f>IFERROR((100-G36)/100*IF(AND(F5=O6,F6&lt;279000),R7*F6^(-S7),IF(F5=O6,R6*Q6^(-S6),IF(AND(F5=O8,F6&lt;65000),R9*F6^(-S9),IF(AND(F5=O12,F6&lt;20000),R13*F6^(-S13),IF(AND(F5=O16,F6&lt;&gt;0,F6&lt;65000),R18*Q18^(-S18),IF(AND(F5=O16,F6&lt;100000),R17*F6^(-S17),IF(AND(F5=O19,F6&lt;30000),R21*F6^(-S21),IF(AND(F5=O19,F6&lt;57700),R20*F6^(-S20),IF(F5=O23&amp;" - "&amp;P24,R24*F6^(-S24),VLOOKUP(F5,O6:S25,4,FALSE)*F6^(-VLOOKUP(F5,O6:S25,5,FALSE))))))))))),"")</f>
        <v>2.0672053478902321</v>
      </c>
      <c r="H37" s="12">
        <f>IFERROR((100-H36)/100*IF(AND(F5=O6,F6&lt;279000),R7*F6^(-S7),IF(F5=O6,R6*Q6^(-S6),IF(AND(F5=O8,F6&lt;65000),R9*F6^(-S9),IF(AND(F5=O12,F6&lt;20000),R13*F6^(-S13),IF(AND(F5=O16,F6&lt;&gt;0,F6&lt;65000),R18*Q18^(-S18),IF(AND(F5=O16,F6&lt;100000),R17*F6^(-S17),IF(AND(F5=O19,F6&lt;30000),R21*F6^(-S21),IF(AND(F5=O19,F6&lt;57700),R20*F6^(-S20),IF(F5=O23&amp;" - "&amp;P24,R24*F6^(-S24),VLOOKUP(F5,O6:S25,4,FALSE)*F6^(-VLOOKUP(F5,O6:S25,5,FALSE))))))))))),"")</f>
        <v>2.0043814516446536</v>
      </c>
      <c r="I37" s="12">
        <f>IFERROR((100-I36)/100*IF(AND(F5=O6,F6&lt;279000),R7*F6^(-S7),IF(F5=O6,R6*Q6^(-S6),IF(AND(F5=O8,F6&lt;65000),R9*F6^(-S9),IF(AND(F5=O12,F6&lt;20000),R13*F6^(-S13),IF(AND(F5=O16,F6&lt;&gt;0,F6&lt;65000),R18*Q18^(-S18),IF(AND(F5=O16,F6&lt;100000),R17*F6^(-S17),IF(AND(F5=O19,F6&lt;30000),R21*F6^(-S21),IF(AND(F5=O19,F6&lt;57700),R20*F6^(-S20),IF(F5=O23&amp;" - "&amp;P24,R24*F6^(-S24),VLOOKUP(F5,O6:S25,4,FALSE)*F6^(-VLOOKUP(F5,O6:S25,5,FALSE))))))))))),"")</f>
        <v>1.9415575553990749</v>
      </c>
      <c r="J37" s="12">
        <f>IFERROR((100-J36)/100*IF(AND(F5=O6,F6&lt;279000),R7*F6^(-S7),IF(F5=O6,R6*Q6^(-S6),IF(AND(F5=O8,F6&lt;65000),R9*F6^(-S9),IF(AND(F5=O12,F6&lt;20000),R13*F6^(-S13),IF(AND(F5=O16,F6&lt;&gt;0,F6&lt;65000),R18*Q18^(-S18),IF(AND(F5=O16,F6&lt;100000),R17*F6^(-S17),IF(AND(F5=O19,F6&lt;30000),R21*F6^(-S21),IF(AND(F5=O19,F6&lt;57700),R20*F6^(-S20),IF(F5=O23&amp;" - "&amp;P24,R24*F6^(-S24),VLOOKUP(F5,O6:S25,4,FALSE)*F6^(-VLOOKUP(F5,O6:S25,5,FALSE))))))))))),"TBD")</f>
        <v>1.8787336591534962</v>
      </c>
      <c r="L37" s="23">
        <v>2027</v>
      </c>
      <c r="M37" s="23">
        <v>13.625</v>
      </c>
      <c r="O37" s="35" t="s">
        <v>4</v>
      </c>
      <c r="P37" s="23" t="s">
        <v>42</v>
      </c>
      <c r="Q37" s="27">
        <v>0.89</v>
      </c>
      <c r="R37" s="27">
        <v>0.98</v>
      </c>
      <c r="S37" s="27">
        <v>1.06</v>
      </c>
      <c r="T37" s="27">
        <v>1.1299999999999999</v>
      </c>
    </row>
    <row r="38" spans="2:20" x14ac:dyDescent="0.3">
      <c r="C38" s="37" t="s">
        <v>121</v>
      </c>
      <c r="D38" s="39" t="s">
        <v>19</v>
      </c>
      <c r="E38" s="23" t="s">
        <v>117</v>
      </c>
      <c r="F38" s="18">
        <f>IFERROR(F37*IF(AND($F5=$O30,$F6&lt;65000),$Q31,IF(AND($F5=$O37,$F6&lt;100000),$Q38,IF($F5=$O23&amp;" - "&amp;$P24,$Q41,VLOOKUP($F5,$O29:$T42,3,FALSE)))),"TBD")</f>
        <v>1.8318251499567975</v>
      </c>
      <c r="G38" s="18">
        <f>IFERROR(G37*IF(AND($F5=$O30,$F6&lt;65000),$Q31,IF(AND($F5=$O37,$F6&lt;100000),$Q38,IF($F5=$O23&amp;" - "&amp;$P24,$Q41,VLOOKUP($F5,$O29:$T42,3,FALSE)))),"TBD")</f>
        <v>1.7777965991855995</v>
      </c>
      <c r="H38" s="18">
        <f>IFERROR(H37*IF(AND($F5=$O30,$F6&lt;65000),$Q31,IF(AND($F5=$O37,$F6&lt;100000),$Q38,IF($F5=$O23&amp;" - "&amp;$P24,$Q41,VLOOKUP($F5,$O29:$T42,3,FALSE)))),"TBD")</f>
        <v>1.723768048414402</v>
      </c>
      <c r="I38" s="18">
        <f>IFERROR(I37*IF(AND($F5=$O30,$F6&lt;65000),$Q31,IF(AND($F5=$O37,$F6&lt;100000),$Q38,IF($F5=$O23&amp;" - "&amp;$P24,$Q41,VLOOKUP($F5,$O29:$T42,3,FALSE)))),"TBD")</f>
        <v>1.6697394976432045</v>
      </c>
      <c r="J38" s="18">
        <f>IFERROR(J37*IF(AND($F5=$O30,$F6&lt;65000),$Q31,IF(AND($F5=$O37,$F6&lt;100000),$Q38,IF($F5=$O23&amp;" - "&amp;$P24,$Q41,VLOOKUP($F5,$O29:$T42,3,FALSE)))),"TBD")</f>
        <v>1.6157109468720068</v>
      </c>
      <c r="L38" s="23">
        <v>2028</v>
      </c>
      <c r="M38" s="23">
        <v>16.25</v>
      </c>
      <c r="O38" s="36"/>
      <c r="P38" s="23" t="s">
        <v>46</v>
      </c>
      <c r="Q38" s="27">
        <v>0.78</v>
      </c>
      <c r="R38" s="27">
        <v>0.92</v>
      </c>
      <c r="S38" s="27">
        <v>1.1000000000000001</v>
      </c>
      <c r="T38" s="27">
        <v>1.37</v>
      </c>
    </row>
    <row r="39" spans="2:20" x14ac:dyDescent="0.3">
      <c r="C39" s="38"/>
      <c r="D39" s="39"/>
      <c r="E39" s="23" t="s">
        <v>118</v>
      </c>
      <c r="F39" s="18">
        <f>IFERROR(F37*IF(AND($F5=$O30,$F6&lt;65000),$R31,IF(AND($F5=$O37,$F6&lt;100000),$R38,IF($F5=$O23&amp;" - "&amp;$P24,$R41,VLOOKUP($F5,$O29:$T42,4,FALSE)))),"TBD")</f>
        <v>2.0022274894876624</v>
      </c>
      <c r="G39" s="18">
        <f>IFERROR(G37*IF(AND($F5=$O30,$F6&lt;65000),$R31,IF(AND($F5=$O37,$F6&lt;100000),$R38,IF($F5=$O23&amp;" - "&amp;$P24,$R41,VLOOKUP($F5,$O29:$T42,4,FALSE)))),"TBD")</f>
        <v>1.9431730270168182</v>
      </c>
      <c r="H39" s="18">
        <f>IFERROR(H37*IF(AND($F5=$O30,$F6&lt;65000),$R31,IF(AND($F5=$O37,$F6&lt;100000),$R38,IF($F5=$O23&amp;" - "&amp;$P24,$R41,VLOOKUP($F5,$O29:$T42,4,FALSE)))),"TBD")</f>
        <v>1.8841185645459744</v>
      </c>
      <c r="I39" s="18">
        <f>IFERROR(I37*IF(AND($F5=$O30,$F6&lt;65000),$R31,IF(AND($F5=$O37,$F6&lt;100000),$R38,IF($F5=$O23&amp;" - "&amp;$P24,$R41,VLOOKUP($F5,$O29:$T42,4,FALSE)))),"TBD")</f>
        <v>1.8250641020751304</v>
      </c>
      <c r="J39" s="18">
        <f>IFERROR(J37*IF(AND($F5=$O30,$F6&lt;65000),$R31,IF(AND($F5=$O37,$F6&lt;100000),$R38,IF($F5=$O23&amp;" - "&amp;$P24,$R41,VLOOKUP($F5,$O29:$T42,4,FALSE)))),"TBD")</f>
        <v>1.7660096396042864</v>
      </c>
      <c r="L39" s="23">
        <v>2029</v>
      </c>
      <c r="M39" s="23">
        <v>18.875</v>
      </c>
      <c r="O39" s="23" t="s">
        <v>14</v>
      </c>
      <c r="P39" s="25"/>
      <c r="Q39" s="27">
        <v>0.86</v>
      </c>
      <c r="R39" s="27">
        <v>0.94</v>
      </c>
      <c r="S39" s="27">
        <v>1.06</v>
      </c>
      <c r="T39" s="27">
        <v>1.1599999999999999</v>
      </c>
    </row>
    <row r="40" spans="2:20" x14ac:dyDescent="0.3">
      <c r="C40" s="38"/>
      <c r="D40" s="39"/>
      <c r="E40" s="23" t="s">
        <v>119</v>
      </c>
      <c r="F40" s="18">
        <f>IFERROR(F37*IF(AND($F5=$O30,$F6&lt;65000),$S31,IF(AND($F5=$O37,$F6&lt;100000),$S38,IF($F5=$O23&amp;" - "&amp;$P24,$S41,VLOOKUP($F5,$O29:$T42,5,FALSE)))),"TBD")</f>
        <v>2.2578309987839598</v>
      </c>
      <c r="G40" s="18">
        <f>IFERROR(G37*IF(AND($F5=$O30,$F6&lt;65000),$S31,IF(AND($F5=$O37,$F6&lt;100000),$S38,IF($F5=$O23&amp;" - "&amp;$P24,$S41,VLOOKUP($F5,$O29:$T42,5,FALSE)))),"TBD")</f>
        <v>2.1912376687636463</v>
      </c>
      <c r="H40" s="18">
        <f>IFERROR(H37*IF(AND($F5=$O30,$F6&lt;65000),$S31,IF(AND($F5=$O37,$F6&lt;100000),$S38,IF($F5=$O23&amp;" - "&amp;$P24,$S41,VLOOKUP($F5,$O29:$T42,5,FALSE)))),"TBD")</f>
        <v>2.1246443387433329</v>
      </c>
      <c r="I40" s="18">
        <f>IFERROR(I37*IF(AND($F5=$O30,$F6&lt;65000),$S31,IF(AND($F5=$O37,$F6&lt;100000),$S38,IF($F5=$O23&amp;" - "&amp;$P24,$S41,VLOOKUP($F5,$O29:$T42,5,FALSE)))),"TBD")</f>
        <v>2.0580510087230195</v>
      </c>
      <c r="J40" s="18">
        <f>IFERROR(J37*IF(AND($F5=$O30,$F6&lt;65000),$S31,IF(AND($F5=$O37,$F6&lt;100000),$S38,IF($F5=$O23&amp;" - "&amp;$P24,$S41,VLOOKUP($F5,$O29:$T42,5,FALSE)))),"TBD")</f>
        <v>1.9914576787027061</v>
      </c>
      <c r="L40" s="23">
        <v>2030</v>
      </c>
      <c r="M40" s="23">
        <v>21.5</v>
      </c>
      <c r="O40" s="23" t="s">
        <v>41</v>
      </c>
      <c r="P40" s="23"/>
      <c r="Q40" s="27">
        <v>0.76</v>
      </c>
      <c r="R40" s="27">
        <v>0.89</v>
      </c>
      <c r="S40" s="27">
        <v>1.08</v>
      </c>
      <c r="T40" s="27">
        <v>1.27</v>
      </c>
    </row>
    <row r="41" spans="2:20" x14ac:dyDescent="0.3">
      <c r="C41" s="38"/>
      <c r="D41" s="39"/>
      <c r="E41" s="23" t="s">
        <v>120</v>
      </c>
      <c r="F41" s="18">
        <f>IFERROR(F37*IF(AND($F5=$O30,$F6&lt;65000),$T31,IF(AND($F5=$O37,$F6&lt;100000),$T38,IF($F5=$O23&amp;" - "&amp;$P24,$T41,VLOOKUP($F5,$O29:$T42,6,FALSE)))),"TBD")</f>
        <v>2.5134345080802571</v>
      </c>
      <c r="G41" s="18">
        <f>IFERROR(G37*IF(AND($F5=$O30,$F6&lt;65000),$T31,IF(AND($F5=$O37,$F6&lt;100000),$T38,IF($F5=$O23&amp;" - "&amp;$P24,$T41,VLOOKUP($F5,$O29:$T42,6,FALSE)))),"TBD")</f>
        <v>2.4393023105104739</v>
      </c>
      <c r="H41" s="18">
        <f>IFERROR(H37*IF(AND($F5=$O30,$F6&lt;65000),$T31,IF(AND($F5=$O37,$F6&lt;100000),$T38,IF($F5=$O23&amp;" - "&amp;$P24,$T41,VLOOKUP($F5,$O29:$T42,6,FALSE)))),"TBD")</f>
        <v>2.365170112940691</v>
      </c>
      <c r="I41" s="18">
        <f>IFERROR(I37*IF(AND($F5=$O30,$F6&lt;65000),$T31,IF(AND($F5=$O37,$F6&lt;100000),$T38,IF($F5=$O23&amp;" - "&amp;$P24,$T41,VLOOKUP($F5,$O29:$T42,6,FALSE)))),"TBD")</f>
        <v>2.2910379153709082</v>
      </c>
      <c r="J41" s="18">
        <f>IFERROR(J37*IF(AND($F5=$O30,$F6&lt;65000),$T31,IF(AND($F5=$O37,$F6&lt;100000),$T38,IF($F5=$O23&amp;" - "&amp;$P24,$T41,VLOOKUP($F5,$O29:$T42,6,FALSE)))),"TBD")</f>
        <v>2.2169057178011253</v>
      </c>
      <c r="O41" s="23" t="s">
        <v>15</v>
      </c>
      <c r="P41" s="23"/>
      <c r="Q41" s="27">
        <v>0.76</v>
      </c>
      <c r="R41" s="27">
        <v>0.92</v>
      </c>
      <c r="S41" s="27">
        <v>1.1399999999999999</v>
      </c>
      <c r="T41" s="27">
        <v>1.3</v>
      </c>
    </row>
    <row r="42" spans="2:20" x14ac:dyDescent="0.3">
      <c r="O42" s="23" t="s">
        <v>12</v>
      </c>
      <c r="P42" s="23"/>
      <c r="Q42" s="27">
        <v>0.87</v>
      </c>
      <c r="R42" s="27">
        <v>0.95</v>
      </c>
      <c r="S42" s="27">
        <v>1.06</v>
      </c>
      <c r="T42" s="27">
        <v>1.1599999999999999</v>
      </c>
    </row>
    <row r="43" spans="2:20" x14ac:dyDescent="0.3">
      <c r="C43" s="16" t="s">
        <v>34</v>
      </c>
      <c r="D43" s="15" t="s">
        <v>19</v>
      </c>
      <c r="E43" s="23"/>
      <c r="F43" s="6">
        <f>IFERROR( SUM( $F10*($F11-$F15-$F20-(0.75-0.03*(F35-2023))*$F26), $G10*($G11-$G15-$G20-(0.75-0.03*(F35-2023))*$G26), $H10*($H11-$H15-$H20-(0.75-0.03*(F35-2023))*$H26), $I10*($I11-$I15-$I20-(0.75-0.03*(F35-2023))*$I26), $J10*($J11-$J15-$J20-(0.75-0.03*(F35-2023))*$J26) )*10^6/ ($F30*$F31*$F32*$F33*$F6*($F7-$F14)), "")</f>
        <v>2.2095833333333332</v>
      </c>
      <c r="G43" s="6">
        <f t="shared" ref="G43:I43" si="3">IFERROR( SUM( $F10*($F11-$F15-$F20-(0.75-0.03*(G35-2023))*$F26), $G10*($G11-$G15-$G20-(0.75-0.03*(G35-2023))*$G26), $H10*($H11-$H15-$H20-(0.75-0.03*(G35-2023))*$H26), $I10*($I11-$I15-$I20-(0.75-0.03*(G35-2023))*$I26), $J10*($J11-$J15-$J20-(0.75-0.03*(G35-2023))*$J26) )*10^6/ ($F30*$F31*$F32*$F33*$F6*($F7-$F14)), "")</f>
        <v>2.2095833333333332</v>
      </c>
      <c r="H43" s="6">
        <f t="shared" si="3"/>
        <v>2.2095833333333332</v>
      </c>
      <c r="I43" s="6">
        <f t="shared" si="3"/>
        <v>2.2095833333333332</v>
      </c>
      <c r="J43" s="6">
        <f>IFERROR( SUM( $F10*($F11-$F15-$F20-(0.75-0.03*(J35-2023))*$F26), $G10*($G11-$G15-$G20-(0.75-0.03*(J35-2023))*$G26), $H10*($H11-$H15-$H20-(0.75-0.03*(J35-2023))*$H26), $I10*($I11-$I15-$I20-(0.75-0.03*(J35-2023))*$I26), $J10*($J11-$J15-$J20-(0.75-0.03*(J35-2023))*$J26) )*10^6/ ($F30*$F31*$F32*$F33*$F6*($F7-$F14)), "")</f>
        <v>2.2095833333333332</v>
      </c>
    </row>
    <row r="44" spans="2:20" x14ac:dyDescent="0.3">
      <c r="C44" s="8" t="s">
        <v>49</v>
      </c>
      <c r="D44" s="17" t="s">
        <v>19</v>
      </c>
      <c r="E44" s="17"/>
      <c r="F44" s="7" t="str">
        <f>IF(F38="TBD","TBD",IF(F43&lt;F38,"A",IF(F43&lt;F39,"B",IF(F43&lt;F40,"C",IF(F43&lt;F41,"D","E")))))</f>
        <v>C</v>
      </c>
      <c r="G44" s="7" t="str">
        <f t="shared" ref="G44:J44" si="4">IF(G38="TBD","TBD",IF(G43&lt;G38,"A",IF(G43&lt;G39,"B",IF(G43&lt;G40,"C",IF(G43&lt;G41,"D","E")))))</f>
        <v>D</v>
      </c>
      <c r="H44" s="7" t="str">
        <f t="shared" si="4"/>
        <v>D</v>
      </c>
      <c r="I44" s="7" t="str">
        <f t="shared" si="4"/>
        <v>D</v>
      </c>
      <c r="J44" s="7" t="str">
        <f t="shared" si="4"/>
        <v>D</v>
      </c>
    </row>
  </sheetData>
  <sheetProtection algorithmName="SHA-512" hashValue="qpi0VD+xTdv/CaSswtXS9F62AY7SEPHB1GVIzx1nMQXMSNB6WuNZ9QEx1NljOg1z5EPDwFjjfEERJmLlgdY+fQ==" saltValue="TzbdsURTI8ZgypavCNaIpA==" spinCount="100000" sheet="1" objects="1" scenarios="1"/>
  <mergeCells count="38">
    <mergeCell ref="C2:G2"/>
    <mergeCell ref="B18:B20"/>
    <mergeCell ref="F18:I18"/>
    <mergeCell ref="F4:J4"/>
    <mergeCell ref="F5:J5"/>
    <mergeCell ref="F6:J6"/>
    <mergeCell ref="F7:J7"/>
    <mergeCell ref="F14:J14"/>
    <mergeCell ref="B13:J13"/>
    <mergeCell ref="B17:J17"/>
    <mergeCell ref="F29:J29"/>
    <mergeCell ref="B29:B31"/>
    <mergeCell ref="C21:C23"/>
    <mergeCell ref="D21:D23"/>
    <mergeCell ref="E21:E23"/>
    <mergeCell ref="H21:H23"/>
    <mergeCell ref="I21:I23"/>
    <mergeCell ref="J21:J23"/>
    <mergeCell ref="B28:J28"/>
    <mergeCell ref="F21:F23"/>
    <mergeCell ref="G21:G23"/>
    <mergeCell ref="L4:M4"/>
    <mergeCell ref="O4:S4"/>
    <mergeCell ref="O5:P5"/>
    <mergeCell ref="O27:T27"/>
    <mergeCell ref="O28:P28"/>
    <mergeCell ref="O12:O13"/>
    <mergeCell ref="O16:O18"/>
    <mergeCell ref="O6:O7"/>
    <mergeCell ref="O8:O9"/>
    <mergeCell ref="O19:O21"/>
    <mergeCell ref="L20:M20"/>
    <mergeCell ref="O23:O24"/>
    <mergeCell ref="O30:O31"/>
    <mergeCell ref="L31:M31"/>
    <mergeCell ref="O37:O38"/>
    <mergeCell ref="C38:C41"/>
    <mergeCell ref="D38:D41"/>
  </mergeCells>
  <phoneticPr fontId="1" type="noConversion"/>
  <dataValidations count="5">
    <dataValidation type="list" errorStyle="warning" allowBlank="1" showInputMessage="1" showErrorMessage="1" error="Invalid ship type" prompt="Please select ship type" sqref="F5" xr:uid="{F0F32EC5-1C53-4D72-AC16-0D6C212F064E}">
      <formula1>$L$6:$L$18</formula1>
    </dataValidation>
    <dataValidation type="list" errorStyle="warning" allowBlank="1" showInputMessage="1" showErrorMessage="1" error="Invalid rating year" prompt="Please select rating year" sqref="F35" xr:uid="{8A574266-86C0-4397-90A3-BB85E83A6A80}">
      <formula1>$L$33:$L$36</formula1>
    </dataValidation>
    <dataValidation type="list" errorStyle="warning" allowBlank="1" showInputMessage="1" showErrorMessage="1" error="Invalid fuel type" prompt="Please select fuel type" sqref="F9:J9" xr:uid="{C24EA8FD-B5CC-4BE8-867B-5A1C81257184}">
      <formula1>$L$22:$L$29</formula1>
    </dataValidation>
    <dataValidation type="list" allowBlank="1" showInputMessage="1" showErrorMessage="1" sqref="F18" xr:uid="{6F6A1131-8238-4641-8EEB-B6BC86CC0DA0}">
      <formula1>" ,STS voyages, Shuttle Tanker with Dynamic Positioning"</formula1>
    </dataValidation>
    <dataValidation type="list" allowBlank="1" showInputMessage="1" showErrorMessage="1" sqref="F29:J29" xr:uid="{70D4F81D-5151-4D1C-B2B8-9AF66ABBA865}">
      <formula1>"IC,IB,IA,IA Super"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YATZENG</dc:creator>
  <cp:lastModifiedBy>郁安 曾</cp:lastModifiedBy>
  <dcterms:created xsi:type="dcterms:W3CDTF">2015-06-05T18:19:34Z</dcterms:created>
  <dcterms:modified xsi:type="dcterms:W3CDTF">2026-01-26T02:13:29Z</dcterms:modified>
</cp:coreProperties>
</file>